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<sst xmlns="http://schemas.openxmlformats.org/spreadsheetml/2006/main" count="35" uniqueCount="35">
  <si>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Top 5%</t>
  </si>
  <si>
    <t>Top 1%</t>
  </si>
  <si>
    <t>Top 10%</t>
  </si>
  <si>
    <t>Bot 95%</t>
  </si>
  <si>
    <t>Bot 99%</t>
  </si>
  <si>
    <t>Bot 90%</t>
  </si>
  <si>
    <t>Top 2-5%</t>
  </si>
  <si>
    <t>Top 6-10%</t>
  </si>
  <si>
    <t>Top 2-10%</t>
  </si>
  <si>
    <t>Bot 50%</t>
  </si>
  <si>
    <t>51-60%</t>
  </si>
  <si>
    <t>61-70%</t>
  </si>
  <si>
    <t>71-80%</t>
  </si>
  <si>
    <t>81-90%</t>
  </si>
  <si>
    <t>Average</t>
  </si>
  <si>
    <t xml:space="preserve"> Net Worth</t>
  </si>
  <si>
    <t>(trillions)</t>
  </si>
  <si>
    <t>Total</t>
  </si>
  <si>
    <t xml:space="preserve"> Wealth</t>
  </si>
  <si>
    <t>(dollars per adult)</t>
  </si>
  <si>
    <t>Data from Global Wealth Databook (GWD)</t>
  </si>
  <si>
    <t>Number of U.S. households is 126 million, according to https://www.statista.com/statistics/183635/number-of-households-in-the-us/</t>
  </si>
  <si>
    <t>See 20170807 for more detail on .1%, .01%, etc.</t>
  </si>
  <si>
    <t>Wealth Data from Kopczuk and Saez</t>
  </si>
  <si>
    <t xml:space="preserve">  Saez data indicates that:</t>
  </si>
  <si>
    <t>See http://gabriel-zucman.eu/files/SaezZucman2016QJE.pdf (Table I) for more detail on .1%, .01%, etc.</t>
  </si>
  <si>
    <t>Top .1%</t>
  </si>
  <si>
    <t>Top .01%</t>
  </si>
  <si>
    <t>See http://wir2018.wid.world/part-4.html for thresholds and averages (also SANE/20180402_WID_431)</t>
  </si>
  <si>
    <t>http://gabriel-zucman.eu/files/SaezZucman2016QJE.pdf (Table I, p 552)</t>
  </si>
  <si>
    <t xml:space="preserve">   Average wealth of .1% (120,000 families) is about 5 times more than 1%</t>
  </si>
  <si>
    <t xml:space="preserve">   Average wealth of .01% (12,000 families) is about 25 times more than 1%</t>
  </si>
  <si>
    <t>http://publications.credit-suisse.com/index.cfm/publikationen-shop/research-institute/global-wealth-databook-2018-en/</t>
  </si>
  <si>
    <t>Note: 2010 GWD shows total wealth of $54.6 trillion; 2018 GWD updates that 2010 figure to $60.2 trillion.</t>
  </si>
  <si>
    <t>Number of U.S. adults is 243 million, according to GWD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</si>
</sst>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 horizontal="right"/>
    </xf>
    <xf numFmtId="4" fontId="35" fillId="0" borderId="0" xfId="0" applyNumberFormat="1" applyFont="1" applyAlignment="1">
      <alignment horizontal="right"/>
    </xf>
    <xf numFmtId="2" fontId="35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37" fillId="0" borderId="0" xfId="52" applyFont="1" applyAlignment="1" applyProtection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6.00390625" style="7" customWidth="1"/>
    <col min="2" max="4" width="11.7109375" style="2" customWidth="1"/>
    <col min="5" max="10" width="10.421875" style="2" customWidth="1"/>
    <col min="11" max="11" width="3.8515625" style="2" customWidth="1"/>
    <col min="12" max="15" width="9.00390625" style="2" customWidth="1"/>
    <col min="16" max="16" width="8.28125" style="2" customWidth="1"/>
    <col min="17" max="17" width="3.57421875" style="2" customWidth="1"/>
    <col min="18" max="18" width="12.8515625" style="2" customWidth="1"/>
    <col min="19" max="19" width="15.00390625" style="2" customWidth="1"/>
    <col min="20" max="23" width="9.140625" style="1" customWidth="1"/>
  </cols>
  <sheetData>
    <row r="1" spans="2:4" ht="19.5" customHeight="1">
      <c r="B1" s="5" t="s">
        <v>17</v>
      </c>
      <c r="C1" s="8" t="s">
        <v>18</v>
      </c>
      <c r="D1" s="2" t="s">
        <v>16</v>
      </c>
    </row>
    <row r="2" spans="2:23" s="4" customFormat="1" ht="18.75" customHeight="1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/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/>
      <c r="R2" s="5" t="s">
        <v>26</v>
      </c>
      <c r="S2" s="5" t="s">
        <v>27</v>
      </c>
      <c r="T2" s="6"/>
      <c r="U2" s="6"/>
      <c r="V2" s="6"/>
      <c r="W2" s="6"/>
    </row>
    <row r="3" spans="2:23" s="4" customFormat="1" ht="18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</row>
    <row r="4" spans="1:23" s="17" customFormat="1" ht="18.75" customHeight="1">
      <c r="A4" s="4">
        <v>2018</v>
      </c>
      <c r="B4" s="11">
        <f>98.2*0.633</f>
        <v>62.1606</v>
      </c>
      <c r="C4" s="11">
        <f>98.2*0.353</f>
        <v>34.6646</v>
      </c>
      <c r="D4" s="18">
        <f>98.2*0.759</f>
        <v>74.5338</v>
      </c>
      <c r="E4" s="18">
        <f>98.2*0.367</f>
        <v>36.0394</v>
      </c>
      <c r="F4" s="18">
        <f>98.2*0.647</f>
        <v>63.5354</v>
      </c>
      <c r="G4" s="18">
        <f>98.2*0.241</f>
        <v>23.6662</v>
      </c>
      <c r="H4" s="2">
        <f aca="true" t="shared" si="0" ref="H4:H9">B4-C4</f>
        <v>27.496000000000002</v>
      </c>
      <c r="I4" s="2">
        <f aca="true" t="shared" si="1" ref="I4:I9">D4-B4</f>
        <v>12.373199999999997</v>
      </c>
      <c r="J4" s="2">
        <f aca="true" t="shared" si="2" ref="J4:J9">D4-C4</f>
        <v>39.8692</v>
      </c>
      <c r="K4" s="18"/>
      <c r="L4" s="11">
        <f>98.2*0.012</f>
        <v>1.1784000000000001</v>
      </c>
      <c r="M4" s="18">
        <f>98.2*0.02</f>
        <v>1.9640000000000002</v>
      </c>
      <c r="N4" s="18">
        <f>98.2*0.033</f>
        <v>3.2406</v>
      </c>
      <c r="O4" s="18">
        <f>98.2*0.058</f>
        <v>5.695600000000001</v>
      </c>
      <c r="P4" s="18">
        <f>98.2*0.118</f>
        <v>11.5876</v>
      </c>
      <c r="Q4" s="18"/>
      <c r="R4" s="18">
        <f>98.2*0.2</f>
        <v>19.64</v>
      </c>
      <c r="S4" s="18">
        <f>98.2*0.1</f>
        <v>9.82</v>
      </c>
      <c r="T4" s="19"/>
      <c r="U4" s="19"/>
      <c r="V4" s="19"/>
      <c r="W4" s="19"/>
    </row>
    <row r="5" spans="1:23" s="10" customFormat="1" ht="15">
      <c r="A5" s="4">
        <v>2017</v>
      </c>
      <c r="B5" s="11">
        <f>93.5*0.654</f>
        <v>61.149</v>
      </c>
      <c r="C5" s="11">
        <f>93.5*0.383</f>
        <v>35.8105</v>
      </c>
      <c r="D5" s="11">
        <f>93.5*0.767</f>
        <v>71.7145</v>
      </c>
      <c r="E5" s="11">
        <f>93.5*0.346</f>
        <v>32.351</v>
      </c>
      <c r="F5" s="11">
        <f>93.5*0.617</f>
        <v>57.6895</v>
      </c>
      <c r="G5" s="11">
        <f>93.5*0.233</f>
        <v>21.785500000000003</v>
      </c>
      <c r="H5" s="2">
        <f t="shared" si="0"/>
        <v>25.338500000000003</v>
      </c>
      <c r="I5" s="2">
        <f t="shared" si="1"/>
        <v>10.5655</v>
      </c>
      <c r="J5" s="2">
        <f t="shared" si="2"/>
        <v>35.904</v>
      </c>
      <c r="K5" s="11"/>
      <c r="L5" s="11">
        <f>93.5*0.011</f>
        <v>1.0285</v>
      </c>
      <c r="M5" s="11">
        <f>93.5*0.02</f>
        <v>1.87</v>
      </c>
      <c r="N5" s="11">
        <f>93.5*0.034</f>
        <v>3.1790000000000003</v>
      </c>
      <c r="O5" s="11">
        <f>93.5*0.057</f>
        <v>5.3295</v>
      </c>
      <c r="P5" s="11">
        <f>93.5*0.112</f>
        <v>10.472</v>
      </c>
      <c r="Q5" s="11"/>
      <c r="R5" s="11">
        <f>93.5*0.2</f>
        <v>18.7</v>
      </c>
      <c r="S5" s="11">
        <f>93.5*0.1</f>
        <v>9.35</v>
      </c>
      <c r="T5" s="12"/>
      <c r="U5" s="12"/>
      <c r="V5" s="12"/>
      <c r="W5" s="12"/>
    </row>
    <row r="6" spans="1:19" ht="15">
      <c r="A6" s="7">
        <v>2016</v>
      </c>
      <c r="B6" s="2">
        <f>85*0.665</f>
        <v>56.525000000000006</v>
      </c>
      <c r="C6" s="2">
        <f>85*0.421</f>
        <v>35.785</v>
      </c>
      <c r="D6" s="2">
        <f>85*0.776</f>
        <v>65.96000000000001</v>
      </c>
      <c r="E6" s="2">
        <f>85*0.335</f>
        <v>28.475</v>
      </c>
      <c r="F6" s="2">
        <f>85*0.579</f>
        <v>49.214999999999996</v>
      </c>
      <c r="G6" s="2">
        <f>85*0.224</f>
        <v>19.04</v>
      </c>
      <c r="H6" s="2">
        <f t="shared" si="0"/>
        <v>20.74000000000001</v>
      </c>
      <c r="I6" s="2">
        <f t="shared" si="1"/>
        <v>9.435000000000002</v>
      </c>
      <c r="J6" s="2">
        <f t="shared" si="2"/>
        <v>30.17500000000001</v>
      </c>
      <c r="L6" s="2">
        <f>85*0.011</f>
        <v>0.9349999999999999</v>
      </c>
      <c r="M6" s="2">
        <f>85*0.019</f>
        <v>1.615</v>
      </c>
      <c r="N6" s="2">
        <f>85*0.032</f>
        <v>2.72</v>
      </c>
      <c r="O6" s="2">
        <f>85*0.056</f>
        <v>4.76</v>
      </c>
      <c r="P6" s="2">
        <f>85*0.107</f>
        <v>9.095</v>
      </c>
      <c r="R6" s="2">
        <f>85*0.22</f>
        <v>18.7</v>
      </c>
      <c r="S6" s="2">
        <f>85*0.11</f>
        <v>9.35</v>
      </c>
    </row>
    <row r="7" spans="1:16" ht="15">
      <c r="A7" s="7">
        <v>2015</v>
      </c>
      <c r="B7" s="2">
        <f>84*0.63</f>
        <v>52.92</v>
      </c>
      <c r="C7" s="2">
        <f>84*0.373</f>
        <v>31.332</v>
      </c>
      <c r="D7" s="2">
        <f>84*0.756</f>
        <v>63.504</v>
      </c>
      <c r="E7" s="2">
        <f>84*0.37</f>
        <v>31.08</v>
      </c>
      <c r="F7" s="2">
        <f>84*0.627</f>
        <v>52.668</v>
      </c>
      <c r="G7" s="2">
        <f>84*0.244</f>
        <v>20.496</v>
      </c>
      <c r="H7" s="2">
        <f t="shared" si="0"/>
        <v>21.588</v>
      </c>
      <c r="I7" s="2">
        <f t="shared" si="1"/>
        <v>10.583999999999996</v>
      </c>
      <c r="J7" s="2">
        <f t="shared" si="2"/>
        <v>32.172</v>
      </c>
      <c r="L7" s="2">
        <f>84*0.013</f>
        <v>1.0919999999999999</v>
      </c>
      <c r="M7" s="2">
        <f>84*0.021</f>
        <v>1.764</v>
      </c>
      <c r="N7" s="2">
        <f>84*0.035</f>
        <v>2.9400000000000004</v>
      </c>
      <c r="O7" s="2">
        <f>84*0.059</f>
        <v>4.9559999999999995</v>
      </c>
      <c r="P7" s="2">
        <f>84*0.117</f>
        <v>9.828000000000001</v>
      </c>
    </row>
    <row r="8" spans="1:16" ht="15">
      <c r="A8" s="7">
        <v>2014</v>
      </c>
      <c r="B8" s="2">
        <f>81*0.627</f>
        <v>50.787</v>
      </c>
      <c r="C8" s="2">
        <f>81*0.384</f>
        <v>31.104</v>
      </c>
      <c r="D8" s="2">
        <f>81*0.746</f>
        <v>60.426</v>
      </c>
      <c r="E8" s="2">
        <f>81*0.373</f>
        <v>30.213</v>
      </c>
      <c r="F8" s="2">
        <f>81*0.616</f>
        <v>49.896</v>
      </c>
      <c r="G8" s="2">
        <f>81*0.254</f>
        <v>20.574</v>
      </c>
      <c r="H8" s="2">
        <f t="shared" si="0"/>
        <v>19.683</v>
      </c>
      <c r="I8" s="2">
        <f t="shared" si="1"/>
        <v>9.639000000000003</v>
      </c>
      <c r="J8" s="2">
        <f t="shared" si="2"/>
        <v>29.322000000000003</v>
      </c>
      <c r="L8" s="2">
        <f>81*0.013</f>
        <v>1.053</v>
      </c>
      <c r="M8" s="2">
        <f>81*0.021</f>
        <v>1.701</v>
      </c>
      <c r="N8" s="2">
        <f>81*0.036</f>
        <v>2.916</v>
      </c>
      <c r="O8" s="2">
        <f>81*0.062</f>
        <v>5.022</v>
      </c>
      <c r="P8" s="2">
        <f>81*0.121</f>
        <v>9.801</v>
      </c>
    </row>
    <row r="9" spans="1:19" ht="15">
      <c r="A9" s="7">
        <v>2010</v>
      </c>
      <c r="B9" s="2">
        <f>54.6*0.597</f>
        <v>32.596199999999996</v>
      </c>
      <c r="C9" s="2">
        <f>54.6*0.346</f>
        <v>18.8916</v>
      </c>
      <c r="D9" s="2">
        <f>54.6*0.71</f>
        <v>38.766</v>
      </c>
      <c r="E9" s="2">
        <f>54.6*0.403</f>
        <v>22.003800000000002</v>
      </c>
      <c r="F9" s="2">
        <f>54.6*0.654</f>
        <v>35.708400000000005</v>
      </c>
      <c r="G9" s="2">
        <f>54.6*0.29</f>
        <v>15.834</v>
      </c>
      <c r="H9" s="2">
        <f t="shared" si="0"/>
        <v>13.704599999999996</v>
      </c>
      <c r="I9" s="2">
        <f t="shared" si="1"/>
        <v>6.169800000000002</v>
      </c>
      <c r="J9" s="2">
        <f t="shared" si="2"/>
        <v>19.874399999999998</v>
      </c>
      <c r="L9" s="2">
        <f>54.6*0.026</f>
        <v>1.4196</v>
      </c>
      <c r="M9" s="2">
        <f>54.6*0.03</f>
        <v>1.638</v>
      </c>
      <c r="N9" s="2">
        <f>54.6*0.045</f>
        <v>2.457</v>
      </c>
      <c r="O9" s="2">
        <f>54.6*0.071</f>
        <v>3.8766</v>
      </c>
      <c r="P9" s="2">
        <f>54.6*0.119</f>
        <v>6.4974</v>
      </c>
      <c r="R9" s="2">
        <f>54.6*0.22</f>
        <v>12.012</v>
      </c>
      <c r="S9" s="2">
        <f>54.6*0.11</f>
        <v>6.006</v>
      </c>
    </row>
    <row r="11" spans="2:23" s="7" customFormat="1" ht="15">
      <c r="B11" s="5" t="s">
        <v>14</v>
      </c>
      <c r="C11" s="8" t="s">
        <v>15</v>
      </c>
      <c r="D11" s="2" t="s">
        <v>19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9"/>
      <c r="U11" s="9"/>
      <c r="V11" s="9"/>
      <c r="W11" s="9"/>
    </row>
    <row r="12" spans="2:23" s="7" customFormat="1" ht="15">
      <c r="B12" s="5"/>
      <c r="C12" s="8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9"/>
      <c r="U12" s="9"/>
      <c r="V12" s="9"/>
      <c r="W12" s="9"/>
    </row>
    <row r="13" spans="1:23" s="14" customFormat="1" ht="15">
      <c r="A13" s="7">
        <v>2018</v>
      </c>
      <c r="B13" s="3">
        <f aca="true" t="shared" si="3" ref="B13:B18">B4*1000000/12.5</f>
        <v>4972848</v>
      </c>
      <c r="C13" s="3">
        <f aca="true" t="shared" si="4" ref="C13:C18">C4*1000000/2.5</f>
        <v>13865840</v>
      </c>
      <c r="D13" s="3">
        <f aca="true" t="shared" si="5" ref="D13:D18">D4*1000000/25</f>
        <v>2981352</v>
      </c>
      <c r="E13" s="3">
        <f aca="true" t="shared" si="6" ref="E13:E18">E4*1000000/237.5</f>
        <v>151744.84210526315</v>
      </c>
      <c r="F13" s="3">
        <f aca="true" t="shared" si="7" ref="F13:F18">F4*1000000/247.5</f>
        <v>256708.68686868687</v>
      </c>
      <c r="G13" s="3">
        <f aca="true" t="shared" si="8" ref="G13:G18">G4*1000000/225</f>
        <v>105183.11111111111</v>
      </c>
      <c r="H13" s="3">
        <f aca="true" t="shared" si="9" ref="H13:H18">H4*1000000/10</f>
        <v>2749600.0000000005</v>
      </c>
      <c r="I13" s="3">
        <f aca="true" t="shared" si="10" ref="I13:I18">I4*1000000/12.5</f>
        <v>989855.9999999997</v>
      </c>
      <c r="J13" s="3">
        <f aca="true" t="shared" si="11" ref="J13:J18">J4*1000000/22.5</f>
        <v>1771964.4444444445</v>
      </c>
      <c r="K13" s="15"/>
      <c r="L13" s="3">
        <f aca="true" t="shared" si="12" ref="L13:L18">L4*1000000/125</f>
        <v>9427.2</v>
      </c>
      <c r="M13" s="3">
        <f aca="true" t="shared" si="13" ref="M13:P18">M4*1000000/25</f>
        <v>78560.00000000001</v>
      </c>
      <c r="N13" s="3">
        <f t="shared" si="13"/>
        <v>129624</v>
      </c>
      <c r="O13" s="3">
        <f t="shared" si="13"/>
        <v>227824.00000000003</v>
      </c>
      <c r="P13" s="3">
        <f t="shared" si="13"/>
        <v>463504</v>
      </c>
      <c r="Q13" s="15"/>
      <c r="R13" s="2">
        <f>R4*1000000/0.25</f>
        <v>78560000</v>
      </c>
      <c r="S13" s="2">
        <f>S4*1000000/0.025</f>
        <v>392800000</v>
      </c>
      <c r="T13" s="16"/>
      <c r="U13" s="16"/>
      <c r="V13" s="16"/>
      <c r="W13" s="16"/>
    </row>
    <row r="14" spans="1:23" s="10" customFormat="1" ht="15" customHeight="1">
      <c r="A14" s="4">
        <v>2017</v>
      </c>
      <c r="B14" s="3">
        <f t="shared" si="3"/>
        <v>4891920</v>
      </c>
      <c r="C14" s="3">
        <f t="shared" si="4"/>
        <v>14324200</v>
      </c>
      <c r="D14" s="3">
        <f t="shared" si="5"/>
        <v>2868580</v>
      </c>
      <c r="E14" s="3">
        <f t="shared" si="6"/>
        <v>136214.73684210525</v>
      </c>
      <c r="F14" s="3">
        <f t="shared" si="7"/>
        <v>233088.88888888888</v>
      </c>
      <c r="G14" s="3">
        <f t="shared" si="8"/>
        <v>96824.44444444447</v>
      </c>
      <c r="H14" s="3">
        <f t="shared" si="9"/>
        <v>2533850.0000000005</v>
      </c>
      <c r="I14" s="3">
        <f t="shared" si="10"/>
        <v>845240</v>
      </c>
      <c r="J14" s="3">
        <f t="shared" si="11"/>
        <v>1595733.3333333333</v>
      </c>
      <c r="K14" s="11"/>
      <c r="L14" s="3">
        <f t="shared" si="12"/>
        <v>8228</v>
      </c>
      <c r="M14" s="3">
        <f t="shared" si="13"/>
        <v>74800</v>
      </c>
      <c r="N14" s="3">
        <f t="shared" si="13"/>
        <v>127160.00000000001</v>
      </c>
      <c r="O14" s="3">
        <f t="shared" si="13"/>
        <v>213180</v>
      </c>
      <c r="P14" s="3">
        <f t="shared" si="13"/>
        <v>418880</v>
      </c>
      <c r="Q14" s="11"/>
      <c r="R14" s="2">
        <f>R5*1000000/0.25</f>
        <v>74800000</v>
      </c>
      <c r="S14" s="2">
        <f>S5*1000000/0.025</f>
        <v>374000000</v>
      </c>
      <c r="T14" s="12"/>
      <c r="U14" s="12"/>
      <c r="V14" s="12"/>
      <c r="W14" s="12"/>
    </row>
    <row r="15" spans="1:19" ht="15">
      <c r="A15" s="7">
        <v>2016</v>
      </c>
      <c r="B15" s="3">
        <f t="shared" si="3"/>
        <v>4522000.000000001</v>
      </c>
      <c r="C15" s="3">
        <f t="shared" si="4"/>
        <v>14314000</v>
      </c>
      <c r="D15" s="3">
        <f t="shared" si="5"/>
        <v>2638400.0000000005</v>
      </c>
      <c r="E15" s="3">
        <f t="shared" si="6"/>
        <v>119894.73684210527</v>
      </c>
      <c r="F15" s="3">
        <f t="shared" si="7"/>
        <v>198848.48484848486</v>
      </c>
      <c r="G15" s="3">
        <f t="shared" si="8"/>
        <v>84622.22222222222</v>
      </c>
      <c r="H15" s="3">
        <f t="shared" si="9"/>
        <v>2074000.0000000007</v>
      </c>
      <c r="I15" s="3">
        <f t="shared" si="10"/>
        <v>754800.0000000001</v>
      </c>
      <c r="J15" s="3">
        <f t="shared" si="11"/>
        <v>1341111.1111111117</v>
      </c>
      <c r="K15" s="3"/>
      <c r="L15" s="3">
        <f t="shared" si="12"/>
        <v>7480</v>
      </c>
      <c r="M15" s="3">
        <f t="shared" si="13"/>
        <v>64600</v>
      </c>
      <c r="N15" s="3">
        <f t="shared" si="13"/>
        <v>108800</v>
      </c>
      <c r="O15" s="3">
        <f t="shared" si="13"/>
        <v>190400</v>
      </c>
      <c r="P15" s="3">
        <f t="shared" si="13"/>
        <v>363800</v>
      </c>
      <c r="Q15" s="3"/>
      <c r="R15" s="2">
        <f>R6*1000000/0.25</f>
        <v>74800000</v>
      </c>
      <c r="S15" s="2">
        <f>S6*1000000/0.025</f>
        <v>374000000</v>
      </c>
    </row>
    <row r="16" spans="1:17" ht="15">
      <c r="A16" s="7">
        <v>2015</v>
      </c>
      <c r="B16" s="3">
        <f t="shared" si="3"/>
        <v>4233600</v>
      </c>
      <c r="C16" s="3">
        <f t="shared" si="4"/>
        <v>12532800</v>
      </c>
      <c r="D16" s="3">
        <f t="shared" si="5"/>
        <v>2540160</v>
      </c>
      <c r="E16" s="3">
        <f t="shared" si="6"/>
        <v>130863.15789473684</v>
      </c>
      <c r="F16" s="3">
        <f t="shared" si="7"/>
        <v>212800</v>
      </c>
      <c r="G16" s="3">
        <f t="shared" si="8"/>
        <v>91093.33333333333</v>
      </c>
      <c r="H16" s="3">
        <f t="shared" si="9"/>
        <v>2158800</v>
      </c>
      <c r="I16" s="3">
        <f t="shared" si="10"/>
        <v>846719.9999999997</v>
      </c>
      <c r="J16" s="3">
        <f t="shared" si="11"/>
        <v>1429866.6666666665</v>
      </c>
      <c r="K16" s="3"/>
      <c r="L16" s="3">
        <f t="shared" si="12"/>
        <v>8735.999999999998</v>
      </c>
      <c r="M16" s="3">
        <f t="shared" si="13"/>
        <v>70560</v>
      </c>
      <c r="N16" s="3">
        <f t="shared" si="13"/>
        <v>117600.00000000001</v>
      </c>
      <c r="O16" s="3">
        <f t="shared" si="13"/>
        <v>198239.99999999997</v>
      </c>
      <c r="P16" s="3">
        <f t="shared" si="13"/>
        <v>393120.00000000006</v>
      </c>
      <c r="Q16" s="3"/>
    </row>
    <row r="17" spans="1:17" ht="15">
      <c r="A17" s="7">
        <v>2014</v>
      </c>
      <c r="B17" s="3">
        <f t="shared" si="3"/>
        <v>4062960</v>
      </c>
      <c r="C17" s="3">
        <f t="shared" si="4"/>
        <v>12441600</v>
      </c>
      <c r="D17" s="3">
        <f t="shared" si="5"/>
        <v>2417040</v>
      </c>
      <c r="E17" s="3">
        <f t="shared" si="6"/>
        <v>127212.63157894737</v>
      </c>
      <c r="F17" s="3">
        <f t="shared" si="7"/>
        <v>201600</v>
      </c>
      <c r="G17" s="3">
        <f t="shared" si="8"/>
        <v>91440</v>
      </c>
      <c r="H17" s="3">
        <f t="shared" si="9"/>
        <v>1968300</v>
      </c>
      <c r="I17" s="3">
        <f t="shared" si="10"/>
        <v>771120.0000000003</v>
      </c>
      <c r="J17" s="3">
        <f t="shared" si="11"/>
        <v>1303200.0000000002</v>
      </c>
      <c r="K17" s="3"/>
      <c r="L17" s="3">
        <f t="shared" si="12"/>
        <v>8424</v>
      </c>
      <c r="M17" s="3">
        <f t="shared" si="13"/>
        <v>68040</v>
      </c>
      <c r="N17" s="3">
        <f t="shared" si="13"/>
        <v>116640</v>
      </c>
      <c r="O17" s="3">
        <f t="shared" si="13"/>
        <v>200880</v>
      </c>
      <c r="P17" s="3">
        <f t="shared" si="13"/>
        <v>392040</v>
      </c>
      <c r="Q17" s="3"/>
    </row>
    <row r="18" spans="1:19" ht="15">
      <c r="A18" s="7">
        <v>2010</v>
      </c>
      <c r="B18" s="3">
        <f t="shared" si="3"/>
        <v>2607695.9999999995</v>
      </c>
      <c r="C18" s="3">
        <f t="shared" si="4"/>
        <v>7556640</v>
      </c>
      <c r="D18" s="3">
        <f t="shared" si="5"/>
        <v>1550640</v>
      </c>
      <c r="E18" s="3">
        <f t="shared" si="6"/>
        <v>92647.57894736843</v>
      </c>
      <c r="F18" s="3">
        <f t="shared" si="7"/>
        <v>144276.36363636368</v>
      </c>
      <c r="G18" s="3">
        <f t="shared" si="8"/>
        <v>70373.33333333333</v>
      </c>
      <c r="H18" s="3">
        <f t="shared" si="9"/>
        <v>1370459.9999999995</v>
      </c>
      <c r="I18" s="3">
        <f t="shared" si="10"/>
        <v>493584.0000000002</v>
      </c>
      <c r="J18" s="3">
        <f t="shared" si="11"/>
        <v>883306.6666666665</v>
      </c>
      <c r="L18" s="3">
        <f t="shared" si="12"/>
        <v>11356.8</v>
      </c>
      <c r="M18" s="3">
        <f t="shared" si="13"/>
        <v>65520</v>
      </c>
      <c r="N18" s="3">
        <f t="shared" si="13"/>
        <v>98280</v>
      </c>
      <c r="O18" s="3">
        <f t="shared" si="13"/>
        <v>155064</v>
      </c>
      <c r="P18" s="3">
        <f t="shared" si="13"/>
        <v>259896</v>
      </c>
      <c r="R18" s="2">
        <f>R9*1000000/0.25</f>
        <v>48048000</v>
      </c>
      <c r="S18" s="2">
        <f>S9*1000000/0.025</f>
        <v>240240000</v>
      </c>
    </row>
    <row r="20" ht="15">
      <c r="A20" s="8" t="s">
        <v>20</v>
      </c>
    </row>
    <row r="21" ht="15">
      <c r="C21" t="s">
        <v>32</v>
      </c>
    </row>
    <row r="22" spans="2:3" ht="15">
      <c r="B22" s="2" t="s">
        <v>33</v>
      </c>
      <c r="C22"/>
    </row>
    <row r="23" ht="15">
      <c r="C23"/>
    </row>
    <row r="24" ht="15">
      <c r="B24" s="2" t="s">
        <v>34</v>
      </c>
    </row>
    <row r="25" ht="15">
      <c r="B25" s="2" t="s">
        <v>21</v>
      </c>
    </row>
    <row r="27" ht="15">
      <c r="B27" s="2" t="s">
        <v>25</v>
      </c>
    </row>
    <row r="28" ht="15">
      <c r="B28" s="2" t="s">
        <v>22</v>
      </c>
    </row>
    <row r="29" ht="15">
      <c r="B29" s="2" t="s">
        <v>28</v>
      </c>
    </row>
    <row r="31" ht="15">
      <c r="A31" s="7" t="s">
        <v>23</v>
      </c>
    </row>
    <row r="32" spans="1:2" ht="15">
      <c r="A32" s="13"/>
      <c r="B32" s="2" t="s">
        <v>29</v>
      </c>
    </row>
    <row r="33" spans="2:23" s="14" customFormat="1" ht="15">
      <c r="B33" s="14" t="s">
        <v>24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</row>
    <row r="34" spans="2:23" s="14" customFormat="1" ht="15">
      <c r="B34" s="14" t="s">
        <v>30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</row>
    <row r="35" spans="2:23" s="14" customFormat="1" ht="15">
      <c r="B35" s="14" t="s">
        <v>31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buchheit</dc:creator>
  <cp:keywords/>
  <dc:description/>
  <cp:lastModifiedBy>paul buchheit</cp:lastModifiedBy>
  <dcterms:created xsi:type="dcterms:W3CDTF">2017-02-25T17:44:41Z</dcterms:created>
  <dcterms:modified xsi:type="dcterms:W3CDTF">2018-10-21T14:33:23Z</dcterms:modified>
  <cp:category/>
  <cp:version/>
  <cp:contentType/>
  <cp:contentStatus/>
</cp:coreProperties>
</file>